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DieseArbeitsmappe" defaultThemeVersion="124226"/>
  <xr:revisionPtr revIDLastSave="0" documentId="13_ncr:1_{F3730FA5-6195-4835-B394-BF9B074EEACB}" xr6:coauthVersionLast="45" xr6:coauthVersionMax="45" xr10:uidLastSave="{00000000-0000-0000-0000-000000000000}"/>
  <workbookProtection workbookAlgorithmName="SHA-512" workbookHashValue="8CIEQwVe8Q5IM61YI7zs46cOFkMi0GJMast1cwZsq3qKmveXiQ3zNQzdTP7u0trmmUL5YR8Vkomq3qIp7+zb3w==" workbookSaltValue="B9FU7pX0Yp1WfGYcwTpGlw==" workbookSpinCount="100000" lockStructure="1"/>
  <bookViews>
    <workbookView xWindow="-108" yWindow="-108" windowWidth="23256" windowHeight="12576" xr2:uid="{00000000-000D-0000-FFFF-FFFF00000000}"/>
  </bookViews>
  <sheets>
    <sheet name="Input_Output" sheetId="1" r:id="rId1"/>
    <sheet name="Definitions" sheetId="2" r:id="rId2"/>
    <sheet name="Tabelle3" sheetId="3" r:id="rId3"/>
  </sheets>
  <definedNames>
    <definedName name="_xlnm.Print_Area" localSheetId="0">Input_Output!$A$1:$L$25</definedName>
    <definedName name="kg_gal">Definitions!$H$5</definedName>
    <definedName name="kg_lbs">Definitions!$H$3</definedName>
    <definedName name="lbs_gal">Definitions!$H$4</definedName>
    <definedName name="liter_gal">Definitions!$H$7</definedName>
    <definedName name="liter_kg">Definitions!$H$6</definedName>
    <definedName name="m_inch">Definitions!$H$8</definedName>
    <definedName name="Max_Tip_Fuel">Input_Output!#REF!</definedName>
    <definedName name="Max_Wing_Fuel">Input_Output!$C$17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11" i="1" l="1"/>
  <c r="C8" i="2"/>
  <c r="C7" i="2"/>
  <c r="C5" i="2"/>
  <c r="C6" i="2"/>
  <c r="C4" i="2"/>
  <c r="C3" i="2"/>
  <c r="D17" i="1" l="1"/>
  <c r="F17" i="1"/>
  <c r="F18" i="1"/>
  <c r="F11" i="1"/>
  <c r="G5" i="1"/>
  <c r="G6" i="1"/>
  <c r="G7" i="1"/>
  <c r="G8" i="1"/>
  <c r="G4" i="1"/>
  <c r="F5" i="1"/>
  <c r="F6" i="1"/>
  <c r="F7" i="1"/>
  <c r="F8" i="1"/>
  <c r="E6" i="1"/>
  <c r="E7" i="1"/>
  <c r="E8" i="1"/>
  <c r="E5" i="1"/>
  <c r="E4" i="1"/>
  <c r="F4" i="1"/>
  <c r="F10" i="1"/>
  <c r="H8" i="1" l="1"/>
  <c r="H7" i="1"/>
  <c r="H6" i="1"/>
  <c r="H5" i="1"/>
  <c r="E18" i="1"/>
  <c r="H4" i="1"/>
  <c r="E9" i="1"/>
  <c r="C18" i="1"/>
  <c r="C9" i="1"/>
  <c r="F3" i="1"/>
  <c r="D3" i="1"/>
  <c r="H4" i="2"/>
  <c r="D18" i="1" s="1"/>
  <c r="D10" i="2" l="1"/>
  <c r="D9" i="2"/>
  <c r="D8" i="2"/>
  <c r="B9" i="1"/>
  <c r="B9" i="2"/>
  <c r="B8" i="2"/>
  <c r="C12" i="1"/>
  <c r="F12" i="1" s="1"/>
  <c r="B10" i="2"/>
  <c r="F9" i="1"/>
  <c r="H3" i="1"/>
  <c r="H9" i="1" s="1"/>
  <c r="C17" i="1"/>
  <c r="D9" i="1"/>
  <c r="C10" i="2" l="1"/>
  <c r="G9" i="1"/>
</calcChain>
</file>

<file path=xl/sharedStrings.xml><?xml version="1.0" encoding="utf-8"?>
<sst xmlns="http://schemas.openxmlformats.org/spreadsheetml/2006/main" count="62" uniqueCount="52">
  <si>
    <t>Arm</t>
  </si>
  <si>
    <t>Moment</t>
  </si>
  <si>
    <t>Min.Fwd</t>
  </si>
  <si>
    <t>Max Fwd</t>
  </si>
  <si>
    <t>Max Rear</t>
  </si>
  <si>
    <t>Min Rear</t>
  </si>
  <si>
    <t>Aircraft Empty Weight</t>
  </si>
  <si>
    <t>Actual TakeOff</t>
  </si>
  <si>
    <t>Take Off</t>
  </si>
  <si>
    <t>Fuel</t>
  </si>
  <si>
    <t>Liters</t>
  </si>
  <si>
    <t>Mass</t>
  </si>
  <si>
    <t>Aircraft Weight &amp; Balance Data</t>
  </si>
  <si>
    <t>Factors</t>
  </si>
  <si>
    <t>kg_lbs</t>
  </si>
  <si>
    <t>m_inch</t>
  </si>
  <si>
    <t>lbs_gal</t>
  </si>
  <si>
    <t>liter_gal</t>
  </si>
  <si>
    <t>kg_gal</t>
  </si>
  <si>
    <t>MAXIMUM TAKE OFF WEIHGT</t>
  </si>
  <si>
    <t>Adjust with mouse</t>
  </si>
  <si>
    <t>liter_kg</t>
  </si>
  <si>
    <t>lbs</t>
  </si>
  <si>
    <t>in</t>
  </si>
  <si>
    <t>Min. Fwd</t>
  </si>
  <si>
    <t>GAL</t>
  </si>
  <si>
    <t>Actuell Fuel</t>
  </si>
  <si>
    <t>kg</t>
  </si>
  <si>
    <t>Max. usable Fuel</t>
  </si>
  <si>
    <t>Zero Fuel Weight  lbs</t>
  </si>
  <si>
    <t>Consult current AFM for binding Datas !</t>
  </si>
  <si>
    <t>Caution check C.G., must be inside envelope !</t>
  </si>
  <si>
    <t>lbs. In</t>
  </si>
  <si>
    <t>m</t>
  </si>
  <si>
    <t>m kg</t>
  </si>
  <si>
    <t>Kg</t>
  </si>
  <si>
    <t>HB-OEN</t>
  </si>
  <si>
    <t>Piper Cup L4/J3</t>
  </si>
  <si>
    <t>Fuel Main Tank</t>
  </si>
  <si>
    <t>Fuel Wing Tank</t>
  </si>
  <si>
    <t>Front Seat</t>
  </si>
  <si>
    <t>Rear Seats</t>
  </si>
  <si>
    <t>or fill in numbers in kg</t>
  </si>
  <si>
    <t xml:space="preserve">  AFM 15.09.2019</t>
  </si>
  <si>
    <t>Weight kg</t>
  </si>
  <si>
    <t>m/kg</t>
  </si>
  <si>
    <t>Arm m</t>
  </si>
  <si>
    <t>Baggage Area</t>
  </si>
  <si>
    <t>Actual Fuel Main</t>
  </si>
  <si>
    <t>Actual Fuel Wing</t>
  </si>
  <si>
    <t>Aditional load to MTOW</t>
  </si>
  <si>
    <t>New. 10.10.2019 V1.UR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</si>
</sst>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#,##0.000"/>
    <numFmt numFmtId="168" formatCode="#,##0_ ;[Red]\-#,##0\ "/>
  </numFmts>
  <fonts count="14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3" borderId="4" xfId="0" applyNumberFormat="1" applyFill="1" applyBorder="1"/>
    <xf numFmtId="164" fontId="3" fillId="3" borderId="4" xfId="0" applyNumberFormat="1" applyFont="1" applyFill="1" applyBorder="1"/>
    <xf numFmtId="0" fontId="0" fillId="3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4" fillId="3" borderId="7" xfId="0" applyNumberFormat="1" applyFont="1" applyFill="1" applyBorder="1"/>
    <xf numFmtId="0" fontId="0" fillId="0" borderId="8" xfId="0" applyBorder="1"/>
    <xf numFmtId="0" fontId="0" fillId="0" borderId="9" xfId="0" applyBorder="1"/>
    <xf numFmtId="165" fontId="0" fillId="2" borderId="6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0" borderId="0" xfId="0" applyNumberFormat="1"/>
    <xf numFmtId="0" fontId="0" fillId="0" borderId="0" xfId="0" applyBorder="1"/>
    <xf numFmtId="0" fontId="0" fillId="0" borderId="13" xfId="0" applyBorder="1"/>
    <xf numFmtId="0" fontId="2" fillId="0" borderId="8" xfId="0" applyFont="1" applyBorder="1"/>
    <xf numFmtId="0" fontId="2" fillId="0" borderId="0" xfId="0" applyFont="1" applyBorder="1"/>
    <xf numFmtId="0" fontId="0" fillId="0" borderId="15" xfId="0" applyBorder="1"/>
    <xf numFmtId="164" fontId="0" fillId="0" borderId="15" xfId="0" applyNumberFormat="1" applyBorder="1"/>
    <xf numFmtId="0" fontId="0" fillId="0" borderId="16" xfId="0" applyBorder="1"/>
    <xf numFmtId="0" fontId="1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166" fontId="0" fillId="3" borderId="10" xfId="0" applyNumberFormat="1" applyFill="1" applyBorder="1"/>
    <xf numFmtId="166" fontId="0" fillId="3" borderId="11" xfId="0" applyNumberFormat="1" applyFill="1" applyBorder="1"/>
    <xf numFmtId="4" fontId="0" fillId="6" borderId="5" xfId="0" applyNumberFormat="1" applyFill="1" applyBorder="1" applyAlignment="1">
      <alignment horizontal="center"/>
    </xf>
    <xf numFmtId="0" fontId="0" fillId="6" borderId="2" xfId="0" applyFill="1" applyBorder="1"/>
    <xf numFmtId="3" fontId="0" fillId="6" borderId="4" xfId="0" applyNumberForma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0" fontId="0" fillId="7" borderId="3" xfId="0" applyFill="1" applyBorder="1"/>
    <xf numFmtId="3" fontId="2" fillId="7" borderId="7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9" fillId="9" borderId="15" xfId="0" applyFont="1" applyFill="1" applyBorder="1"/>
    <xf numFmtId="164" fontId="9" fillId="9" borderId="15" xfId="0" applyNumberFormat="1" applyFont="1" applyFill="1" applyBorder="1"/>
    <xf numFmtId="0" fontId="9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5" borderId="8" xfId="0" applyFont="1" applyFill="1" applyBorder="1"/>
    <xf numFmtId="0" fontId="1" fillId="4" borderId="0" xfId="0" applyFont="1" applyFill="1" applyBorder="1"/>
    <xf numFmtId="0" fontId="8" fillId="0" borderId="0" xfId="0" applyFont="1"/>
    <xf numFmtId="0" fontId="1" fillId="0" borderId="27" xfId="0" applyFont="1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8" fillId="0" borderId="14" xfId="0" applyFont="1" applyBorder="1"/>
    <xf numFmtId="0" fontId="8" fillId="0" borderId="29" xfId="0" applyFont="1" applyBorder="1" applyAlignment="1">
      <alignment vertical="center"/>
    </xf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4" fontId="0" fillId="6" borderId="35" xfId="0" applyNumberFormat="1" applyFill="1" applyBorder="1" applyAlignment="1">
      <alignment horizontal="center"/>
    </xf>
    <xf numFmtId="3" fontId="0" fillId="10" borderId="36" xfId="0" applyNumberFormat="1" applyFill="1" applyBorder="1" applyAlignment="1">
      <alignment horizontal="center"/>
    </xf>
    <xf numFmtId="4" fontId="0" fillId="6" borderId="6" xfId="0" applyNumberFormat="1" applyFont="1" applyFill="1" applyBorder="1" applyAlignment="1">
      <alignment horizontal="center"/>
    </xf>
    <xf numFmtId="3" fontId="7" fillId="7" borderId="37" xfId="0" applyNumberFormat="1" applyFon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/>
    </xf>
    <xf numFmtId="3" fontId="0" fillId="11" borderId="11" xfId="0" applyNumberForma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/>
    </xf>
    <xf numFmtId="0" fontId="1" fillId="14" borderId="33" xfId="0" applyFont="1" applyFill="1" applyBorder="1" applyAlignment="1">
      <alignment horizontal="center"/>
    </xf>
    <xf numFmtId="4" fontId="8" fillId="14" borderId="4" xfId="0" applyNumberFormat="1" applyFont="1" applyFill="1" applyBorder="1" applyAlignment="1">
      <alignment horizontal="center" vertical="center"/>
    </xf>
    <xf numFmtId="4" fontId="8" fillId="14" borderId="7" xfId="0" applyNumberFormat="1" applyFont="1" applyFill="1" applyBorder="1" applyAlignment="1">
      <alignment horizontal="center" vertical="center"/>
    </xf>
    <xf numFmtId="164" fontId="1" fillId="12" borderId="12" xfId="0" applyNumberFormat="1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164" fontId="1" fillId="12" borderId="17" xfId="0" applyNumberFormat="1" applyFont="1" applyFill="1" applyBorder="1" applyAlignment="1">
      <alignment horizontal="center" vertical="center"/>
    </xf>
    <xf numFmtId="164" fontId="1" fillId="12" borderId="13" xfId="0" applyNumberFormat="1" applyFont="1" applyFill="1" applyBorder="1" applyAlignment="1">
      <alignment horizontal="center" vertical="center"/>
    </xf>
    <xf numFmtId="166" fontId="1" fillId="12" borderId="18" xfId="0" applyNumberFormat="1" applyFont="1" applyFill="1" applyBorder="1" applyAlignment="1">
      <alignment horizontal="center" vertical="center"/>
    </xf>
    <xf numFmtId="164" fontId="1" fillId="12" borderId="18" xfId="0" applyNumberFormat="1" applyFont="1" applyFill="1" applyBorder="1" applyAlignment="1">
      <alignment horizontal="center" vertical="center"/>
    </xf>
    <xf numFmtId="4" fontId="0" fillId="14" borderId="4" xfId="0" applyNumberFormat="1" applyFill="1" applyBorder="1" applyAlignment="1">
      <alignment horizontal="center" vertical="center"/>
    </xf>
    <xf numFmtId="3" fontId="0" fillId="14" borderId="40" xfId="0" applyNumberFormat="1" applyFill="1" applyBorder="1" applyAlignment="1">
      <alignment horizontal="right" vertical="center"/>
    </xf>
    <xf numFmtId="164" fontId="3" fillId="3" borderId="39" xfId="0" applyNumberFormat="1" applyFont="1" applyFill="1" applyBorder="1"/>
    <xf numFmtId="166" fontId="0" fillId="3" borderId="24" xfId="0" applyNumberForma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0" fillId="3" borderId="2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3" fontId="12" fillId="13" borderId="4" xfId="0" applyNumberFormat="1" applyFont="1" applyFill="1" applyBorder="1" applyAlignment="1">
      <alignment horizontal="center" vertical="center"/>
    </xf>
    <xf numFmtId="4" fontId="0" fillId="14" borderId="19" xfId="0" quotePrefix="1" applyNumberFormat="1" applyFill="1" applyBorder="1" applyAlignment="1">
      <alignment horizontal="center" vertical="center"/>
    </xf>
    <xf numFmtId="167" fontId="1" fillId="12" borderId="5" xfId="0" applyNumberFormat="1" applyFon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4" fontId="1" fillId="12" borderId="7" xfId="0" applyNumberFormat="1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4" fontId="0" fillId="14" borderId="19" xfId="0" applyNumberFormat="1" applyFill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3" fontId="0" fillId="14" borderId="39" xfId="0" applyNumberFormat="1" applyFill="1" applyBorder="1" applyAlignment="1">
      <alignment horizontal="right" vertical="center"/>
    </xf>
    <xf numFmtId="3" fontId="8" fillId="14" borderId="41" xfId="0" applyNumberFormat="1" applyFont="1" applyFill="1" applyBorder="1" applyAlignment="1" applyProtection="1">
      <alignment horizontal="right" vertical="center"/>
      <protection locked="0"/>
    </xf>
    <xf numFmtId="3" fontId="0" fillId="14" borderId="42" xfId="0" applyNumberFormat="1" applyFill="1" applyBorder="1" applyAlignment="1">
      <alignment horizontal="right" vertical="center"/>
    </xf>
    <xf numFmtId="3" fontId="8" fillId="14" borderId="42" xfId="0" applyNumberFormat="1" applyFont="1" applyFill="1" applyBorder="1" applyAlignment="1" applyProtection="1">
      <alignment horizontal="right" vertical="center"/>
      <protection locked="0"/>
    </xf>
    <xf numFmtId="3" fontId="12" fillId="13" borderId="4" xfId="0" applyNumberFormat="1" applyFont="1" applyFill="1" applyBorder="1" applyAlignment="1">
      <alignment horizontal="right" vertical="center"/>
    </xf>
    <xf numFmtId="3" fontId="0" fillId="14" borderId="4" xfId="0" applyNumberFormat="1" applyFill="1" applyBorder="1" applyAlignment="1">
      <alignment horizontal="right" vertical="center"/>
    </xf>
    <xf numFmtId="168" fontId="0" fillId="14" borderId="7" xfId="0" applyNumberFormat="1" applyFill="1" applyBorder="1" applyAlignment="1">
      <alignment horizontal="right" vertical="center"/>
    </xf>
    <xf numFmtId="4" fontId="0" fillId="14" borderId="33" xfId="0" applyNumberFormat="1" applyFill="1" applyBorder="1" applyAlignment="1">
      <alignment horizontal="right" vertical="center"/>
    </xf>
    <xf numFmtId="2" fontId="1" fillId="12" borderId="22" xfId="0" applyNumberFormat="1" applyFont="1" applyFill="1" applyBorder="1" applyAlignment="1">
      <alignment horizontal="right" vertical="center"/>
    </xf>
    <xf numFmtId="2" fontId="0" fillId="12" borderId="38" xfId="0" applyNumberFormat="1" applyFill="1" applyBorder="1" applyAlignment="1">
      <alignment horizontal="right" vertical="center"/>
    </xf>
    <xf numFmtId="2" fontId="1" fillId="12" borderId="30" xfId="0" applyNumberFormat="1" applyFont="1" applyFill="1" applyBorder="1" applyAlignment="1">
      <alignment horizontal="right" vertical="center"/>
    </xf>
    <xf numFmtId="3" fontId="13" fillId="13" borderId="12" xfId="0" applyNumberFormat="1" applyFont="1" applyFill="1" applyBorder="1" applyAlignment="1">
      <alignment horizontal="right" vertical="center"/>
    </xf>
    <xf numFmtId="3" fontId="0" fillId="12" borderId="31" xfId="0" applyNumberFormat="1" applyFill="1" applyBorder="1" applyAlignment="1">
      <alignment horizontal="right" vertical="center"/>
    </xf>
    <xf numFmtId="168" fontId="1" fillId="12" borderId="32" xfId="0" applyNumberFormat="1" applyFont="1" applyFill="1" applyBorder="1" applyAlignment="1">
      <alignment horizontal="right" vertical="center"/>
    </xf>
    <xf numFmtId="3" fontId="1" fillId="12" borderId="6" xfId="0" applyNumberFormat="1" applyFont="1" applyFill="1" applyBorder="1" applyAlignment="1">
      <alignment horizontal="right" vertical="center"/>
    </xf>
    <xf numFmtId="3" fontId="0" fillId="12" borderId="10" xfId="0" applyNumberFormat="1" applyFill="1" applyBorder="1" applyAlignment="1">
      <alignment horizontal="right" vertical="center"/>
    </xf>
    <xf numFmtId="3" fontId="1" fillId="12" borderId="11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9" fillId="9" borderId="15" xfId="0" applyFont="1" applyFill="1" applyBorder="1" applyAlignment="1"/>
    <xf numFmtId="0" fontId="0" fillId="0" borderId="15" xfId="0" applyBorder="1" applyAlignment="1"/>
    <xf numFmtId="0" fontId="6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8" borderId="21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00FF"/>
      <color rgb="FF00FF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LIMITS</a:t>
            </a:r>
          </a:p>
        </c:rich>
      </c:tx>
      <c:layout>
        <c:manualLayout>
          <c:xMode val="edge"/>
          <c:yMode val="edge"/>
          <c:x val="0.25085544144500405"/>
          <c:y val="3.088176477940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9459608932941"/>
          <c:y val="0.15278372450803732"/>
          <c:w val="0.79969667517463361"/>
          <c:h val="0.7070310655425131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Definitions!$C$3:$C$7</c:f>
              <c:numCache>
                <c:formatCode>0.000</c:formatCode>
                <c:ptCount val="5"/>
                <c:pt idx="0">
                  <c:v>0.3</c:v>
                </c:pt>
                <c:pt idx="1">
                  <c:v>0.26666666666666666</c:v>
                </c:pt>
                <c:pt idx="2">
                  <c:v>0.27586206896551724</c:v>
                </c:pt>
                <c:pt idx="3">
                  <c:v>0.58620689655172409</c:v>
                </c:pt>
                <c:pt idx="4">
                  <c:v>0.57499999999999996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400</c:v>
                </c:pt>
                <c:pt idx="1">
                  <c:v>450</c:v>
                </c:pt>
                <c:pt idx="2">
                  <c:v>580</c:v>
                </c:pt>
                <c:pt idx="3">
                  <c:v>580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C-46A1-B7B3-8C4796CBC50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Definitions!$C$10</c:f>
              <c:numCache>
                <c:formatCode>0.000</c:formatCode>
                <c:ptCount val="1"/>
                <c:pt idx="0">
                  <c:v>0.39787852001515345</c:v>
                </c:pt>
              </c:numCache>
            </c:numRef>
          </c:xVal>
          <c:yVal>
            <c:numRef>
              <c:f>Definitions!$B$10</c:f>
              <c:numCache>
                <c:formatCode>0.0</c:formatCode>
                <c:ptCount val="1"/>
                <c:pt idx="0">
                  <c:v>395.95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8C-46A1-B7B3-8C4796CBC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96992"/>
        <c:axId val="127279488"/>
      </c:scatterChart>
      <c:valAx>
        <c:axId val="126596992"/>
        <c:scaling>
          <c:orientation val="minMax"/>
          <c:max val="0.60000000000000009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AIRPLANE C.G. LOCATION M</a:t>
                </a:r>
              </a:p>
            </c:rich>
          </c:tx>
          <c:layout>
            <c:manualLayout>
              <c:xMode val="edge"/>
              <c:yMode val="edge"/>
              <c:x val="0.31622993211520639"/>
              <c:y val="0.918327709036370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279488"/>
        <c:crosses val="autoZero"/>
        <c:crossBetween val="midCat"/>
        <c:majorUnit val="0.1"/>
      </c:valAx>
      <c:valAx>
        <c:axId val="127279488"/>
        <c:scaling>
          <c:orientation val="minMax"/>
          <c:max val="620"/>
          <c:min val="3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LOADES AIRPLANE WEIGHT  KG</a:t>
                </a:r>
              </a:p>
            </c:rich>
          </c:tx>
          <c:layout>
            <c:manualLayout>
              <c:xMode val="edge"/>
              <c:yMode val="edge"/>
              <c:x val="2.8886317201487186E-2"/>
              <c:y val="0.253556013831604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596992"/>
        <c:crosses val="autoZero"/>
        <c:crossBetween val="midCat"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MOMENT ENVELOPE</a:t>
            </a:r>
          </a:p>
        </c:rich>
      </c:tx>
      <c:layout>
        <c:manualLayout>
          <c:xMode val="edge"/>
          <c:yMode val="edge"/>
          <c:x val="0.24094619987422664"/>
          <c:y val="3.4206416346716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322024120685"/>
          <c:y val="0.16675574559059331"/>
          <c:w val="0.8248344470642921"/>
          <c:h val="0.6755745590593266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Definitions!$D$3:$D$7</c:f>
              <c:numCache>
                <c:formatCode>0.0</c:formatCode>
                <c:ptCount val="5"/>
                <c:pt idx="0">
                  <c:v>120</c:v>
                </c:pt>
                <c:pt idx="1">
                  <c:v>120</c:v>
                </c:pt>
                <c:pt idx="2">
                  <c:v>160</c:v>
                </c:pt>
                <c:pt idx="3">
                  <c:v>340</c:v>
                </c:pt>
                <c:pt idx="4">
                  <c:v>230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400</c:v>
                </c:pt>
                <c:pt idx="1">
                  <c:v>450</c:v>
                </c:pt>
                <c:pt idx="2">
                  <c:v>580</c:v>
                </c:pt>
                <c:pt idx="3">
                  <c:v>580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FB-4783-B74D-8C2FB9802CF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Definitions!$D$8:$D$10</c:f>
              <c:numCache>
                <c:formatCode>0.0</c:formatCode>
                <c:ptCount val="3"/>
                <c:pt idx="0">
                  <c:v>157.54</c:v>
                </c:pt>
                <c:pt idx="1">
                  <c:v>157.54</c:v>
                </c:pt>
                <c:pt idx="2">
                  <c:v>157.54</c:v>
                </c:pt>
              </c:numCache>
            </c:numRef>
          </c:xVal>
          <c:yVal>
            <c:numRef>
              <c:f>Definitions!$B$8:$B$10</c:f>
              <c:numCache>
                <c:formatCode>0.0</c:formatCode>
                <c:ptCount val="3"/>
                <c:pt idx="0">
                  <c:v>395.68333333333334</c:v>
                </c:pt>
                <c:pt idx="1">
                  <c:v>395.67413793103447</c:v>
                </c:pt>
                <c:pt idx="2">
                  <c:v>395.95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FB-4783-B74D-8C2FB980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2464"/>
        <c:axId val="127353216"/>
      </c:scatterChart>
      <c:valAx>
        <c:axId val="127342464"/>
        <c:scaling>
          <c:orientation val="minMax"/>
          <c:min val="1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MOMNET m/kg</a:t>
                </a:r>
              </a:p>
            </c:rich>
          </c:tx>
          <c:layout>
            <c:manualLayout>
              <c:xMode val="edge"/>
              <c:yMode val="edge"/>
              <c:x val="0.32963808146650247"/>
              <c:y val="0.910742988221513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353216"/>
        <c:crosses val="autoZero"/>
        <c:crossBetween val="midCat"/>
        <c:majorUnit val="10"/>
        <c:minorUnit val="1"/>
      </c:valAx>
      <c:valAx>
        <c:axId val="127353216"/>
        <c:scaling>
          <c:orientation val="minMax"/>
          <c:max val="62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WEIGHT kg</a:t>
                </a:r>
              </a:p>
            </c:rich>
          </c:tx>
          <c:layout>
            <c:manualLayout>
              <c:xMode val="edge"/>
              <c:yMode val="edge"/>
              <c:x val="2.8085684052764567E-2"/>
              <c:y val="0.26723688206329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342464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</xdr:row>
          <xdr:rowOff>45720</xdr:rowOff>
        </xdr:from>
        <xdr:to>
          <xdr:col>1</xdr:col>
          <xdr:colOff>1493520</xdr:colOff>
          <xdr:row>5</xdr:row>
          <xdr:rowOff>198120</xdr:rowOff>
        </xdr:to>
        <xdr:sp macro="" textlink="">
          <xdr:nvSpPr>
            <xdr:cNvPr id="1042" name="ScrollBar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693420</xdr:colOff>
      <xdr:row>7</xdr:row>
      <xdr:rowOff>144780</xdr:rowOff>
    </xdr:from>
    <xdr:to>
      <xdr:col>1</xdr:col>
      <xdr:colOff>83820</xdr:colOff>
      <xdr:row>12</xdr:row>
      <xdr:rowOff>160020</xdr:rowOff>
    </xdr:to>
    <xdr:sp macro="" textlink="">
      <xdr:nvSpPr>
        <xdr:cNvPr id="1087" name="Line 2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693420" y="1706880"/>
          <a:ext cx="838200" cy="1234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89534</xdr:colOff>
      <xdr:row>0</xdr:row>
      <xdr:rowOff>89535</xdr:rowOff>
    </xdr:from>
    <xdr:to>
      <xdr:col>15</xdr:col>
      <xdr:colOff>581025</xdr:colOff>
      <xdr:row>23</xdr:row>
      <xdr:rowOff>135255</xdr:rowOff>
    </xdr:to>
    <xdr:graphicFrame macro="">
      <xdr:nvGraphicFramePr>
        <xdr:cNvPr id="1088" name="Diagramm 4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790574</xdr:colOff>
      <xdr:row>7</xdr:row>
      <xdr:rowOff>114300</xdr:rowOff>
    </xdr:from>
    <xdr:to>
      <xdr:col>2</xdr:col>
      <xdr:colOff>76199</xdr:colOff>
      <xdr:row>14</xdr:row>
      <xdr:rowOff>47624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790574" y="1676400"/>
          <a:ext cx="2371725" cy="1564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</xdr:row>
          <xdr:rowOff>45720</xdr:rowOff>
        </xdr:from>
        <xdr:to>
          <xdr:col>1</xdr:col>
          <xdr:colOff>1493520</xdr:colOff>
          <xdr:row>6</xdr:row>
          <xdr:rowOff>198120</xdr:rowOff>
        </xdr:to>
        <xdr:sp macro="" textlink="">
          <xdr:nvSpPr>
            <xdr:cNvPr id="1071" name="ScrollBar4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</xdr:row>
          <xdr:rowOff>45720</xdr:rowOff>
        </xdr:from>
        <xdr:to>
          <xdr:col>1</xdr:col>
          <xdr:colOff>1493520</xdr:colOff>
          <xdr:row>7</xdr:row>
          <xdr:rowOff>198120</xdr:rowOff>
        </xdr:to>
        <xdr:sp macro="" textlink="">
          <xdr:nvSpPr>
            <xdr:cNvPr id="1072" name="ScrollBar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</xdr:row>
          <xdr:rowOff>45720</xdr:rowOff>
        </xdr:from>
        <xdr:to>
          <xdr:col>1</xdr:col>
          <xdr:colOff>1493520</xdr:colOff>
          <xdr:row>3</xdr:row>
          <xdr:rowOff>198120</xdr:rowOff>
        </xdr:to>
        <xdr:sp macro="" textlink="">
          <xdr:nvSpPr>
            <xdr:cNvPr id="1075" name="ScrollBar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45720</xdr:rowOff>
        </xdr:from>
        <xdr:to>
          <xdr:col>1</xdr:col>
          <xdr:colOff>1493520</xdr:colOff>
          <xdr:row>4</xdr:row>
          <xdr:rowOff>198120</xdr:rowOff>
        </xdr:to>
        <xdr:sp macro="" textlink="">
          <xdr:nvSpPr>
            <xdr:cNvPr id="1077" name="ScrollBar5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10</xdr:row>
      <xdr:rowOff>45720</xdr:rowOff>
    </xdr:from>
    <xdr:to>
      <xdr:col>7</xdr:col>
      <xdr:colOff>219075</xdr:colOff>
      <xdr:row>32</xdr:row>
      <xdr:rowOff>45720</xdr:rowOff>
    </xdr:to>
    <xdr:graphicFrame macro="">
      <xdr:nvGraphicFramePr>
        <xdr:cNvPr id="3099" name="Diagramm 1042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4"/>
  <sheetViews>
    <sheetView tabSelected="1" workbookViewId="0">
      <selection activeCell="H18" sqref="H18"/>
    </sheetView>
  </sheetViews>
  <sheetFormatPr baseColWidth="10" defaultColWidth="11.44140625" defaultRowHeight="13.2" x14ac:dyDescent="0.25"/>
  <cols>
    <col min="1" max="1" width="21.109375" customWidth="1"/>
    <col min="2" max="2" width="23.88671875" customWidth="1"/>
    <col min="3" max="3" width="8.109375" style="2" customWidth="1"/>
    <col min="4" max="4" width="8" customWidth="1"/>
    <col min="5" max="5" width="8.6640625" style="2" customWidth="1"/>
    <col min="6" max="6" width="8.88671875" customWidth="1"/>
    <col min="7" max="7" width="7.6640625" customWidth="1"/>
    <col min="8" max="8" width="8.6640625" customWidth="1"/>
  </cols>
  <sheetData>
    <row r="1" spans="1:16" x14ac:dyDescent="0.25">
      <c r="A1" s="118" t="s">
        <v>36</v>
      </c>
      <c r="B1" s="120" t="s">
        <v>37</v>
      </c>
      <c r="C1" s="62" t="s">
        <v>11</v>
      </c>
      <c r="D1" s="62" t="s">
        <v>0</v>
      </c>
      <c r="E1" s="63" t="s">
        <v>1</v>
      </c>
      <c r="F1" s="66" t="s">
        <v>11</v>
      </c>
      <c r="G1" s="67" t="s">
        <v>0</v>
      </c>
      <c r="H1" s="68" t="s">
        <v>1</v>
      </c>
      <c r="I1" s="17"/>
      <c r="J1" s="17"/>
      <c r="K1" s="17"/>
      <c r="L1" s="17"/>
      <c r="M1" s="22"/>
      <c r="N1" s="22"/>
      <c r="O1" s="22"/>
      <c r="P1" s="23"/>
    </row>
    <row r="2" spans="1:16" ht="13.8" thickBot="1" x14ac:dyDescent="0.3">
      <c r="A2" s="119"/>
      <c r="B2" s="121"/>
      <c r="C2" s="62" t="s">
        <v>27</v>
      </c>
      <c r="D2" s="62" t="s">
        <v>33</v>
      </c>
      <c r="E2" s="63" t="s">
        <v>34</v>
      </c>
      <c r="F2" s="69" t="s">
        <v>22</v>
      </c>
      <c r="G2" s="70" t="s">
        <v>23</v>
      </c>
      <c r="H2" s="71" t="s">
        <v>32</v>
      </c>
      <c r="I2" s="22"/>
      <c r="J2" s="22"/>
      <c r="K2" s="22"/>
      <c r="L2" s="22"/>
      <c r="M2" s="22"/>
      <c r="N2" s="22"/>
      <c r="O2" s="22"/>
      <c r="P2" s="23"/>
    </row>
    <row r="3" spans="1:16" ht="19.2" customHeight="1" thickBot="1" x14ac:dyDescent="0.3">
      <c r="A3" s="44" t="s">
        <v>6</v>
      </c>
      <c r="B3" s="49" t="s">
        <v>43</v>
      </c>
      <c r="C3" s="96">
        <v>395.95</v>
      </c>
      <c r="D3" s="72">
        <f>E3/C3</f>
        <v>0.39787852001515345</v>
      </c>
      <c r="E3" s="103">
        <v>157.54</v>
      </c>
      <c r="F3" s="104">
        <f t="shared" ref="F3:F8" si="0">C3/kg_lbs</f>
        <v>872.92032712102275</v>
      </c>
      <c r="G3" s="86">
        <v>24</v>
      </c>
      <c r="H3" s="110">
        <f>F3*G3</f>
        <v>20950.087850904547</v>
      </c>
      <c r="I3" s="22"/>
      <c r="J3" s="22"/>
      <c r="K3" s="22"/>
      <c r="L3" s="22"/>
      <c r="M3" s="22"/>
      <c r="N3" s="22"/>
      <c r="O3" s="22"/>
      <c r="P3" s="23"/>
    </row>
    <row r="4" spans="1:16" ht="19.2" customHeight="1" x14ac:dyDescent="0.25">
      <c r="A4" s="45" t="s">
        <v>38</v>
      </c>
      <c r="B4" s="50"/>
      <c r="C4" s="97">
        <v>0</v>
      </c>
      <c r="D4" s="85">
        <v>-0.46</v>
      </c>
      <c r="E4" s="103">
        <f>C4*D4</f>
        <v>0</v>
      </c>
      <c r="F4" s="105">
        <f t="shared" si="0"/>
        <v>0</v>
      </c>
      <c r="G4" s="87">
        <f t="shared" ref="G4:G8" si="1">D4/kg_lbs</f>
        <v>-1.0141264060504369</v>
      </c>
      <c r="H4" s="111">
        <f>F4*G4</f>
        <v>0</v>
      </c>
      <c r="I4" s="22"/>
      <c r="J4" s="22"/>
      <c r="K4" s="22"/>
      <c r="L4" s="22"/>
      <c r="M4" s="22"/>
      <c r="N4" s="22"/>
      <c r="O4" s="22"/>
      <c r="P4" s="23"/>
    </row>
    <row r="5" spans="1:16" ht="19.2" customHeight="1" x14ac:dyDescent="0.25">
      <c r="A5" s="45" t="s">
        <v>39</v>
      </c>
      <c r="B5" s="50"/>
      <c r="C5" s="98">
        <v>0</v>
      </c>
      <c r="D5" s="92">
        <v>0.5</v>
      </c>
      <c r="E5" s="103">
        <f>C5*D5</f>
        <v>0</v>
      </c>
      <c r="F5" s="105">
        <f t="shared" si="0"/>
        <v>0</v>
      </c>
      <c r="G5" s="87">
        <f t="shared" si="1"/>
        <v>1.1023113109243878</v>
      </c>
      <c r="H5" s="111">
        <f t="shared" ref="H5:H8" si="2">F5*G5</f>
        <v>0</v>
      </c>
      <c r="I5" s="22"/>
      <c r="J5" s="22"/>
      <c r="K5" s="22"/>
      <c r="L5" s="22"/>
      <c r="M5" s="22"/>
      <c r="N5" s="22"/>
      <c r="O5" s="22"/>
      <c r="P5" s="23"/>
    </row>
    <row r="6" spans="1:16" ht="19.2" customHeight="1" x14ac:dyDescent="0.25">
      <c r="A6" s="45" t="s">
        <v>40</v>
      </c>
      <c r="B6" s="50"/>
      <c r="C6" s="99">
        <v>0</v>
      </c>
      <c r="D6" s="92">
        <v>0.23</v>
      </c>
      <c r="E6" s="103">
        <f t="shared" ref="E6:E8" si="3">C6*D6</f>
        <v>0</v>
      </c>
      <c r="F6" s="105">
        <f t="shared" si="0"/>
        <v>0</v>
      </c>
      <c r="G6" s="87">
        <f t="shared" si="1"/>
        <v>0.50706320302521846</v>
      </c>
      <c r="H6" s="111">
        <f t="shared" si="2"/>
        <v>0</v>
      </c>
      <c r="I6" s="22"/>
      <c r="J6" s="22"/>
      <c r="K6" s="22"/>
      <c r="L6" s="22"/>
      <c r="M6" s="22"/>
      <c r="N6" s="22"/>
      <c r="O6" s="22"/>
      <c r="P6" s="23"/>
    </row>
    <row r="7" spans="1:16" ht="19.2" customHeight="1" x14ac:dyDescent="0.25">
      <c r="A7" s="45" t="s">
        <v>41</v>
      </c>
      <c r="B7" s="50"/>
      <c r="C7" s="99">
        <v>0</v>
      </c>
      <c r="D7" s="92">
        <v>0.91</v>
      </c>
      <c r="E7" s="103">
        <f t="shared" si="3"/>
        <v>0</v>
      </c>
      <c r="F7" s="105">
        <f t="shared" si="0"/>
        <v>0</v>
      </c>
      <c r="G7" s="87">
        <f t="shared" si="1"/>
        <v>2.0062065858823859</v>
      </c>
      <c r="H7" s="111">
        <f t="shared" si="2"/>
        <v>0</v>
      </c>
      <c r="I7" s="22"/>
      <c r="J7" s="22"/>
      <c r="K7" s="22"/>
      <c r="L7" s="22"/>
      <c r="M7" s="22"/>
      <c r="N7" s="22"/>
      <c r="O7" s="22"/>
      <c r="P7" s="23"/>
    </row>
    <row r="8" spans="1:16" ht="19.2" customHeight="1" x14ac:dyDescent="0.25">
      <c r="A8" s="45" t="s">
        <v>47</v>
      </c>
      <c r="B8" s="50"/>
      <c r="C8" s="99">
        <v>0</v>
      </c>
      <c r="D8" s="92">
        <v>1.4</v>
      </c>
      <c r="E8" s="103">
        <f t="shared" si="3"/>
        <v>0</v>
      </c>
      <c r="F8" s="105">
        <f t="shared" si="0"/>
        <v>0</v>
      </c>
      <c r="G8" s="87">
        <f t="shared" si="1"/>
        <v>3.0864716705882858</v>
      </c>
      <c r="H8" s="111">
        <f t="shared" si="2"/>
        <v>0</v>
      </c>
      <c r="I8" s="22"/>
      <c r="J8" s="22"/>
      <c r="K8" s="22"/>
      <c r="L8" s="22"/>
      <c r="M8" s="22"/>
      <c r="N8" s="22"/>
      <c r="O8" s="22"/>
      <c r="P8" s="23"/>
    </row>
    <row r="9" spans="1:16" ht="19.2" customHeight="1" thickBot="1" x14ac:dyDescent="0.3">
      <c r="A9" s="29" t="s">
        <v>8</v>
      </c>
      <c r="B9" s="43" t="str">
        <f>IF(C9&lt;C10,"Weight iniside Limit","Weight OUTSIDE Limit")</f>
        <v>Weight iniside Limit</v>
      </c>
      <c r="C9" s="73">
        <f>SUM(C3:C8)</f>
        <v>395.95</v>
      </c>
      <c r="D9" s="72">
        <f>E9/C9</f>
        <v>0.39787852001515345</v>
      </c>
      <c r="E9" s="103">
        <f>SUM(E3:E8)</f>
        <v>157.54</v>
      </c>
      <c r="F9" s="106">
        <f>SUM(F3:F8)</f>
        <v>872.92032712102275</v>
      </c>
      <c r="G9" s="88">
        <f>H9/F9</f>
        <v>24</v>
      </c>
      <c r="H9" s="112">
        <f>SUM(H3:H8)</f>
        <v>20950.087850904547</v>
      </c>
      <c r="I9" s="22"/>
      <c r="J9" s="22"/>
      <c r="K9" s="22"/>
      <c r="L9" s="22"/>
      <c r="M9" s="22"/>
      <c r="N9" s="22"/>
      <c r="O9" s="22"/>
      <c r="P9" s="23"/>
    </row>
    <row r="10" spans="1:16" ht="19.2" customHeight="1" thickBot="1" x14ac:dyDescent="0.3">
      <c r="A10" s="82"/>
      <c r="B10" s="83" t="s">
        <v>19</v>
      </c>
      <c r="C10" s="100">
        <v>580</v>
      </c>
      <c r="D10" s="84" t="s">
        <v>27</v>
      </c>
      <c r="E10" s="93"/>
      <c r="F10" s="107">
        <f>C10/kg_lbs</f>
        <v>1278.6811206722898</v>
      </c>
      <c r="G10" s="89" t="s">
        <v>22</v>
      </c>
      <c r="H10" s="113"/>
      <c r="I10" s="22"/>
      <c r="J10" s="22"/>
      <c r="K10" s="22"/>
      <c r="L10" s="22"/>
      <c r="M10" s="22"/>
      <c r="N10" s="22"/>
      <c r="O10" s="22"/>
      <c r="P10" s="23"/>
    </row>
    <row r="11" spans="1:16" ht="19.2" customHeight="1" x14ac:dyDescent="0.25">
      <c r="A11" s="30"/>
      <c r="B11" s="81" t="s">
        <v>29</v>
      </c>
      <c r="C11" s="101">
        <f>C3+C6+C7+C8</f>
        <v>395.95</v>
      </c>
      <c r="D11" s="64" t="s">
        <v>27</v>
      </c>
      <c r="E11" s="94"/>
      <c r="F11" s="108">
        <f>C11/kg_lbs</f>
        <v>872.92032712102275</v>
      </c>
      <c r="G11" s="90" t="s">
        <v>22</v>
      </c>
      <c r="H11" s="114"/>
      <c r="I11" s="22"/>
      <c r="J11" s="22"/>
      <c r="K11" s="22"/>
      <c r="L11" s="22"/>
      <c r="M11" s="22"/>
      <c r="N11" s="22"/>
      <c r="O11" s="22"/>
      <c r="P11" s="23"/>
    </row>
    <row r="12" spans="1:16" ht="19.2" customHeight="1" thickBot="1" x14ac:dyDescent="0.3">
      <c r="A12" s="30"/>
      <c r="B12" s="52" t="s">
        <v>50</v>
      </c>
      <c r="C12" s="102">
        <f>C10-C9</f>
        <v>184.05</v>
      </c>
      <c r="D12" s="65" t="s">
        <v>27</v>
      </c>
      <c r="E12" s="95"/>
      <c r="F12" s="109">
        <f>C12/kg_lbs</f>
        <v>405.76079355126717</v>
      </c>
      <c r="G12" s="91" t="s">
        <v>22</v>
      </c>
      <c r="H12" s="115"/>
      <c r="I12" s="22"/>
      <c r="J12" s="22"/>
      <c r="K12" s="22"/>
      <c r="L12" s="22"/>
      <c r="M12" s="22"/>
      <c r="N12" s="22"/>
      <c r="O12" s="22"/>
      <c r="P12" s="23"/>
    </row>
    <row r="13" spans="1:16" ht="19.2" customHeight="1" x14ac:dyDescent="0.25">
      <c r="A13" s="16"/>
      <c r="B13" s="122"/>
      <c r="C13" s="123"/>
      <c r="D13" s="53"/>
      <c r="E13" s="5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1:16" x14ac:dyDescent="0.25">
      <c r="A14" s="46" t="s">
        <v>20</v>
      </c>
      <c r="B14" s="124"/>
      <c r="C14" s="125"/>
      <c r="D14" s="54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1:16" ht="13.8" thickBot="1" x14ac:dyDescent="0.3">
      <c r="A15" s="47" t="s">
        <v>42</v>
      </c>
      <c r="B15" s="126"/>
      <c r="C15" s="127"/>
      <c r="D15" s="54"/>
      <c r="E15" s="5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x14ac:dyDescent="0.25">
      <c r="A16" s="16"/>
      <c r="B16" s="40" t="s">
        <v>9</v>
      </c>
      <c r="C16" s="33" t="s">
        <v>22</v>
      </c>
      <c r="D16" s="33" t="s">
        <v>25</v>
      </c>
      <c r="E16" s="56" t="s">
        <v>10</v>
      </c>
      <c r="F16" s="58" t="s">
        <v>35</v>
      </c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x14ac:dyDescent="0.25">
      <c r="A17" s="16"/>
      <c r="B17" s="34" t="s">
        <v>28</v>
      </c>
      <c r="C17" s="35">
        <f>D17*lbs_gal</f>
        <v>103.17633870252271</v>
      </c>
      <c r="D17" s="36">
        <f>E17/liter_gal</f>
        <v>17.171183403279649</v>
      </c>
      <c r="E17" s="57">
        <v>65</v>
      </c>
      <c r="F17" s="60">
        <f>E17*liter_kg</f>
        <v>46.8</v>
      </c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6.2" thickBot="1" x14ac:dyDescent="0.3">
      <c r="A18" s="16"/>
      <c r="B18" s="37" t="s">
        <v>26</v>
      </c>
      <c r="C18" s="38">
        <f>F18/kg_lbs</f>
        <v>0</v>
      </c>
      <c r="D18" s="39">
        <f>F18/lbs_gal</f>
        <v>0</v>
      </c>
      <c r="E18" s="59">
        <f>F18/liter_kg</f>
        <v>0</v>
      </c>
      <c r="F18" s="61">
        <f>C4+C5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x14ac:dyDescent="0.25">
      <c r="A19" s="2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x14ac:dyDescent="0.25">
      <c r="A20" s="24"/>
      <c r="B20" s="22"/>
      <c r="C20" s="4"/>
      <c r="D20" s="25"/>
      <c r="E20" s="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x14ac:dyDescent="0.25">
      <c r="A21" s="24"/>
      <c r="B21" s="22"/>
      <c r="C21" s="4"/>
      <c r="D21" s="25"/>
      <c r="E21" s="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x14ac:dyDescent="0.25">
      <c r="A22" s="24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x14ac:dyDescent="0.25">
      <c r="A23" s="24"/>
      <c r="D23" s="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6" x14ac:dyDescent="0.25">
      <c r="A24" s="24"/>
      <c r="D24" s="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6" ht="13.8" thickBot="1" x14ac:dyDescent="0.3">
      <c r="A25" s="51" t="s">
        <v>51</v>
      </c>
      <c r="B25" s="41" t="s">
        <v>30</v>
      </c>
      <c r="C25" s="42"/>
      <c r="D25" s="41"/>
      <c r="E25" s="27"/>
      <c r="F25" s="26"/>
      <c r="G25" s="26"/>
      <c r="H25" s="26"/>
      <c r="I25" s="26"/>
      <c r="J25" s="26"/>
      <c r="K25" s="116" t="s">
        <v>31</v>
      </c>
      <c r="L25" s="117"/>
      <c r="M25" s="117"/>
      <c r="N25" s="117"/>
      <c r="O25" s="26"/>
      <c r="P25" s="28"/>
    </row>
    <row r="26" spans="1:16" x14ac:dyDescent="0.25">
      <c r="D26" s="3"/>
    </row>
    <row r="27" spans="1:16" x14ac:dyDescent="0.25">
      <c r="D27" s="3"/>
      <c r="F27" s="1"/>
      <c r="G27" s="1"/>
    </row>
    <row r="28" spans="1:16" x14ac:dyDescent="0.25">
      <c r="D28" s="3"/>
      <c r="K28" s="5"/>
    </row>
    <row r="29" spans="1:16" x14ac:dyDescent="0.25">
      <c r="D29" s="3"/>
    </row>
    <row r="30" spans="1:16" x14ac:dyDescent="0.25">
      <c r="B30" s="2"/>
      <c r="D30" s="4"/>
    </row>
    <row r="31" spans="1:16" x14ac:dyDescent="0.25">
      <c r="B31" s="1"/>
      <c r="D31" s="3"/>
      <c r="J31" s="4"/>
    </row>
    <row r="32" spans="1:16" x14ac:dyDescent="0.25">
      <c r="J32" s="4"/>
    </row>
    <row r="33" spans="1:10" x14ac:dyDescent="0.25">
      <c r="A33" s="2"/>
      <c r="D33" s="3"/>
      <c r="J33" s="4"/>
    </row>
    <row r="34" spans="1:10" x14ac:dyDescent="0.25">
      <c r="A34" s="1"/>
      <c r="D34" s="4"/>
      <c r="J34" s="4"/>
    </row>
    <row r="35" spans="1:10" x14ac:dyDescent="0.25">
      <c r="D35" s="2"/>
      <c r="J35" s="4"/>
    </row>
    <row r="36" spans="1:10" x14ac:dyDescent="0.25">
      <c r="J36" s="4"/>
    </row>
    <row r="37" spans="1:10" x14ac:dyDescent="0.25">
      <c r="D37" s="2"/>
      <c r="J37" s="4"/>
    </row>
    <row r="38" spans="1:10" x14ac:dyDescent="0.25">
      <c r="D38" s="2"/>
      <c r="J38" s="4"/>
    </row>
    <row r="39" spans="1:10" x14ac:dyDescent="0.25">
      <c r="D39" s="2"/>
    </row>
    <row r="40" spans="1:10" x14ac:dyDescent="0.25">
      <c r="D40" s="2"/>
    </row>
    <row r="41" spans="1:10" x14ac:dyDescent="0.25">
      <c r="D41" s="2"/>
    </row>
    <row r="42" spans="1:10" x14ac:dyDescent="0.25">
      <c r="D42" s="2"/>
    </row>
    <row r="43" spans="1:10" x14ac:dyDescent="0.25">
      <c r="D43" s="2"/>
    </row>
    <row r="44" spans="1:10" x14ac:dyDescent="0.25">
      <c r="D44" s="2"/>
      <c r="I44" s="2"/>
      <c r="J44" s="2"/>
    </row>
  </sheetData>
  <mergeCells count="6">
    <mergeCell ref="K25:N25"/>
    <mergeCell ref="A1:A2"/>
    <mergeCell ref="B1:B2"/>
    <mergeCell ref="B13:C13"/>
    <mergeCell ref="B14:C14"/>
    <mergeCell ref="B15:C15"/>
  </mergeCells>
  <phoneticPr fontId="0" type="noConversion"/>
  <conditionalFormatting sqref="B9">
    <cfRule type="cellIs" dxfId="1" priority="1" stopIfTrue="1" operator="equal">
      <formula>"Weight iniside Limit"</formula>
    </cfRule>
    <cfRule type="cellIs" dxfId="0" priority="2" stopIfTrue="1" operator="equal">
      <formula>"Weight OUTSIDE Limit"</formula>
    </cfRule>
  </conditionalFormatting>
  <pageMargins left="0.61" right="0.49" top="1.9685039370078741" bottom="1.9685039370078741" header="0" footer="0"/>
  <pageSetup paperSize="9" scale="82" orientation="landscape" r:id="rId1"/>
  <headerFooter alignWithMargins="0">
    <oddHeader>&amp;L&amp;F&amp;C&amp;D</oddHeader>
    <oddFooter>&amp;LHSp</oddFooter>
  </headerFooter>
  <ignoredErrors>
    <ignoredError sqref="D9 F9:G9" formula="1"/>
  </ignoredErrors>
  <drawing r:id="rId2"/>
  <legacyDrawing r:id="rId3"/>
  <controls>
    <mc:AlternateContent xmlns:mc="http://schemas.openxmlformats.org/markup-compatibility/2006">
      <mc:Choice Requires="x14">
        <control shapeId="1077" r:id="rId4" name="ScrollBar5">
          <controlPr locked="0" defaultSize="0" autoLine="0" linkedCell="C5" r:id="rId5">
            <anchor moveWithCells="1">
              <from>
                <xdr:col>1</xdr:col>
                <xdr:colOff>45720</xdr:colOff>
                <xdr:row>4</xdr:row>
                <xdr:rowOff>45720</xdr:rowOff>
              </from>
              <to>
                <xdr:col>1</xdr:col>
                <xdr:colOff>1493520</xdr:colOff>
                <xdr:row>4</xdr:row>
                <xdr:rowOff>198120</xdr:rowOff>
              </to>
            </anchor>
          </controlPr>
        </control>
      </mc:Choice>
      <mc:Fallback>
        <control shapeId="1077" r:id="rId4" name="ScrollBar5"/>
      </mc:Fallback>
    </mc:AlternateContent>
    <mc:AlternateContent xmlns:mc="http://schemas.openxmlformats.org/markup-compatibility/2006">
      <mc:Choice Requires="x14">
        <control shapeId="1075" r:id="rId6" name="ScrollBar2">
          <controlPr locked="0" defaultSize="0" autoLine="0" linkedCell="C4" r:id="rId5">
            <anchor moveWithCells="1">
              <from>
                <xdr:col>1</xdr:col>
                <xdr:colOff>45720</xdr:colOff>
                <xdr:row>3</xdr:row>
                <xdr:rowOff>45720</xdr:rowOff>
              </from>
              <to>
                <xdr:col>1</xdr:col>
                <xdr:colOff>1493520</xdr:colOff>
                <xdr:row>3</xdr:row>
                <xdr:rowOff>198120</xdr:rowOff>
              </to>
            </anchor>
          </controlPr>
        </control>
      </mc:Choice>
      <mc:Fallback>
        <control shapeId="1075" r:id="rId6" name="ScrollBar2"/>
      </mc:Fallback>
    </mc:AlternateContent>
    <mc:AlternateContent xmlns:mc="http://schemas.openxmlformats.org/markup-compatibility/2006">
      <mc:Choice Requires="x14">
        <control shapeId="1072" r:id="rId7" name="ScrollBar1">
          <controlPr locked="0" defaultSize="0" autoLine="0" linkedCell="C8" r:id="rId5">
            <anchor moveWithCells="1">
              <from>
                <xdr:col>1</xdr:col>
                <xdr:colOff>45720</xdr:colOff>
                <xdr:row>7</xdr:row>
                <xdr:rowOff>45720</xdr:rowOff>
              </from>
              <to>
                <xdr:col>1</xdr:col>
                <xdr:colOff>1493520</xdr:colOff>
                <xdr:row>7</xdr:row>
                <xdr:rowOff>198120</xdr:rowOff>
              </to>
            </anchor>
          </controlPr>
        </control>
      </mc:Choice>
      <mc:Fallback>
        <control shapeId="1072" r:id="rId7" name="ScrollBar1"/>
      </mc:Fallback>
    </mc:AlternateContent>
    <mc:AlternateContent xmlns:mc="http://schemas.openxmlformats.org/markup-compatibility/2006">
      <mc:Choice Requires="x14">
        <control shapeId="1071" r:id="rId8" name="ScrollBar4">
          <controlPr locked="0" defaultSize="0" autoLine="0" linkedCell="C7" r:id="rId5">
            <anchor moveWithCells="1">
              <from>
                <xdr:col>1</xdr:col>
                <xdr:colOff>45720</xdr:colOff>
                <xdr:row>6</xdr:row>
                <xdr:rowOff>45720</xdr:rowOff>
              </from>
              <to>
                <xdr:col>1</xdr:col>
                <xdr:colOff>1493520</xdr:colOff>
                <xdr:row>6</xdr:row>
                <xdr:rowOff>198120</xdr:rowOff>
              </to>
            </anchor>
          </controlPr>
        </control>
      </mc:Choice>
      <mc:Fallback>
        <control shapeId="1071" r:id="rId8" name="ScrollBar4"/>
      </mc:Fallback>
    </mc:AlternateContent>
    <mc:AlternateContent xmlns:mc="http://schemas.openxmlformats.org/markup-compatibility/2006">
      <mc:Choice Requires="x14">
        <control shapeId="1042" r:id="rId9" name="ScrollBar9">
          <controlPr locked="0" defaultSize="0" autoLine="0" linkedCell="C6" r:id="rId5">
            <anchor moveWithCells="1">
              <from>
                <xdr:col>1</xdr:col>
                <xdr:colOff>45720</xdr:colOff>
                <xdr:row>5</xdr:row>
                <xdr:rowOff>45720</xdr:rowOff>
              </from>
              <to>
                <xdr:col>1</xdr:col>
                <xdr:colOff>1493520</xdr:colOff>
                <xdr:row>5</xdr:row>
                <xdr:rowOff>198120</xdr:rowOff>
              </to>
            </anchor>
          </controlPr>
        </control>
      </mc:Choice>
      <mc:Fallback>
        <control shapeId="1042" r:id="rId9" name="ScrollBar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26"/>
  <sheetViews>
    <sheetView workbookViewId="0">
      <selection sqref="A1:H10"/>
    </sheetView>
  </sheetViews>
  <sheetFormatPr baseColWidth="10" defaultColWidth="11.44140625" defaultRowHeight="13.2" x14ac:dyDescent="0.25"/>
  <cols>
    <col min="1" max="1" width="15.5546875" customWidth="1"/>
  </cols>
  <sheetData>
    <row r="1" spans="1:10" s="6" customFormat="1" ht="16.2" thickBot="1" x14ac:dyDescent="0.35">
      <c r="A1" s="6" t="s">
        <v>12</v>
      </c>
    </row>
    <row r="2" spans="1:10" ht="16.2" thickBot="1" x14ac:dyDescent="0.35">
      <c r="A2" s="12"/>
      <c r="B2" s="13" t="s">
        <v>44</v>
      </c>
      <c r="C2" s="14" t="s">
        <v>46</v>
      </c>
      <c r="D2" s="13" t="s">
        <v>45</v>
      </c>
      <c r="G2" s="6" t="s">
        <v>13</v>
      </c>
    </row>
    <row r="3" spans="1:10" x14ac:dyDescent="0.25">
      <c r="A3" s="78" t="s">
        <v>2</v>
      </c>
      <c r="B3" s="10">
        <v>400</v>
      </c>
      <c r="C3" s="31">
        <f>D3/B3</f>
        <v>0.3</v>
      </c>
      <c r="D3" s="10">
        <v>120</v>
      </c>
      <c r="G3" s="7" t="s">
        <v>14</v>
      </c>
      <c r="H3" s="18">
        <v>0.45359237000000002</v>
      </c>
    </row>
    <row r="4" spans="1:10" x14ac:dyDescent="0.25">
      <c r="A4" s="78" t="s">
        <v>24</v>
      </c>
      <c r="B4" s="10">
        <v>450</v>
      </c>
      <c r="C4" s="31">
        <f>D4/B4</f>
        <v>0.26666666666666666</v>
      </c>
      <c r="D4" s="10">
        <v>120</v>
      </c>
      <c r="G4" s="8" t="s">
        <v>16</v>
      </c>
      <c r="H4" s="19">
        <f>+H5/H3</f>
        <v>6.0086912054539185</v>
      </c>
    </row>
    <row r="5" spans="1:10" x14ac:dyDescent="0.25">
      <c r="A5" s="78" t="s">
        <v>3</v>
      </c>
      <c r="B5" s="10">
        <v>580</v>
      </c>
      <c r="C5" s="31">
        <f t="shared" ref="C5:C7" si="0">D5/B5</f>
        <v>0.27586206896551724</v>
      </c>
      <c r="D5" s="10">
        <v>160</v>
      </c>
      <c r="G5" s="8" t="s">
        <v>18</v>
      </c>
      <c r="H5" s="19">
        <v>2.7254964844799998</v>
      </c>
    </row>
    <row r="6" spans="1:10" x14ac:dyDescent="0.25">
      <c r="A6" s="78" t="s">
        <v>4</v>
      </c>
      <c r="B6" s="10">
        <v>580</v>
      </c>
      <c r="C6" s="31">
        <f t="shared" si="0"/>
        <v>0.58620689655172409</v>
      </c>
      <c r="D6" s="10">
        <v>340</v>
      </c>
      <c r="G6" s="8" t="s">
        <v>21</v>
      </c>
      <c r="H6" s="19">
        <v>0.72</v>
      </c>
    </row>
    <row r="7" spans="1:10" x14ac:dyDescent="0.25">
      <c r="A7" s="78" t="s">
        <v>5</v>
      </c>
      <c r="B7" s="10">
        <v>400</v>
      </c>
      <c r="C7" s="31">
        <f t="shared" si="0"/>
        <v>0.57499999999999996</v>
      </c>
      <c r="D7" s="10">
        <v>230</v>
      </c>
      <c r="G7" s="8" t="s">
        <v>17</v>
      </c>
      <c r="H7" s="19">
        <v>3.7854117839999999</v>
      </c>
    </row>
    <row r="8" spans="1:10" ht="13.8" thickBot="1" x14ac:dyDescent="0.3">
      <c r="A8" s="78" t="s">
        <v>48</v>
      </c>
      <c r="B8" s="11">
        <f>Input_Output!C9-Definitions!C4</f>
        <v>395.68333333333334</v>
      </c>
      <c r="C8" s="31">
        <f>Input_Output!D4</f>
        <v>-0.46</v>
      </c>
      <c r="D8" s="10">
        <f>Input_Output!E9-Input_Output!E4</f>
        <v>157.54</v>
      </c>
      <c r="G8" s="9" t="s">
        <v>15</v>
      </c>
      <c r="H8" s="20">
        <v>2.5399999999999999E-2</v>
      </c>
      <c r="J8" s="48"/>
    </row>
    <row r="9" spans="1:10" x14ac:dyDescent="0.25">
      <c r="A9" s="79" t="s">
        <v>49</v>
      </c>
      <c r="B9" s="74">
        <f>Input_Output!C9-Definitions!C5</f>
        <v>395.67413793103447</v>
      </c>
      <c r="C9" s="75">
        <f>Input_Output!D5</f>
        <v>0.5</v>
      </c>
      <c r="D9" s="10">
        <f>Input_Output!E9-Input_Output!E5</f>
        <v>157.54</v>
      </c>
      <c r="G9" s="76"/>
      <c r="H9" s="77"/>
      <c r="J9" s="48"/>
    </row>
    <row r="10" spans="1:10" ht="13.8" thickBot="1" x14ac:dyDescent="0.3">
      <c r="A10" s="80" t="s">
        <v>7</v>
      </c>
      <c r="B10" s="15">
        <f>Input_Output!C9</f>
        <v>395.95</v>
      </c>
      <c r="C10" s="32">
        <f>D10/B10</f>
        <v>0.39787852001515345</v>
      </c>
      <c r="D10" s="10">
        <f>Input_Output!E9</f>
        <v>157.54</v>
      </c>
    </row>
    <row r="26" spans="2:2" x14ac:dyDescent="0.25">
      <c r="B26" s="21"/>
    </row>
  </sheetData>
  <sheetProtection algorithmName="SHA-512" hashValue="/Zxcj58LuBLCLsbHnUBmoo2AotL0NYXzUyJ02OQwKskEVVP4L6sTDJddH0s7OicueFd7rknW9PSAcemOrMBWEw==" saltValue="ByiMakEJxOZbGLKlxHwalg==" spinCount="100000" sheet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C3" sqref="C3"/>
    </sheetView>
  </sheetViews>
  <sheetFormatPr baseColWidth="10" defaultColWidth="11.44140625" defaultRowHeight="13.2" x14ac:dyDescent="0.25"/>
  <sheetData/>
  <sheetProtection password="DF59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Input_Output</vt:lpstr>
      <vt:lpstr>Definitions</vt:lpstr>
      <vt:lpstr>Tabelle3</vt:lpstr>
      <vt:lpstr>Input_Output!Druckbereich</vt:lpstr>
      <vt:lpstr>kg_gal</vt:lpstr>
      <vt:lpstr>kg_lbs</vt:lpstr>
      <vt:lpstr>lbs_gal</vt:lpstr>
      <vt:lpstr>liter_gal</vt:lpstr>
      <vt:lpstr>liter_kg</vt:lpstr>
      <vt:lpstr>m_inch</vt:lpstr>
      <vt:lpstr>Max_Wing_Fuel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2008-06-30T12:49:08Z</cp:lastPrinted>
  <dcterms:created xsi:type="dcterms:W3CDTF">1900-12-31T23:00:00Z</dcterms:created>
  <dcterms:modified xsi:type="dcterms:W3CDTF">2019-10-29T17:15:08Z</dcterms:modified>
</cp:coreProperties>
</file>